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695" windowHeight="9405" activeTab="1"/>
  </bookViews>
  <sheets>
    <sheet name="Физики" sheetId="2" r:id="rId1"/>
    <sheet name="Юрики" sheetId="1" r:id="rId2"/>
  </sheets>
  <definedNames>
    <definedName name="_xlnm.Print_Area" localSheetId="0">Физики!$A$23:$G$33</definedName>
    <definedName name="_xlnm.Print_Area" localSheetId="1">Юрики!$A$23:$G$73</definedName>
  </definedNames>
  <calcPr calcId="145621"/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D38" i="1"/>
  <c r="D37" i="1"/>
  <c r="D36" i="1"/>
  <c r="D35" i="1"/>
  <c r="D34" i="1"/>
  <c r="D33" i="1"/>
  <c r="D32" i="1"/>
  <c r="E31" i="1"/>
  <c r="D31" i="1"/>
  <c r="E30" i="2" l="1"/>
  <c r="G30" i="2" s="1"/>
  <c r="D30" i="2"/>
  <c r="F30" i="2" s="1"/>
  <c r="E28" i="2"/>
  <c r="G28" i="2" s="1"/>
  <c r="D28" i="2"/>
  <c r="F28" i="2" s="1"/>
  <c r="G71" i="1"/>
  <c r="G69" i="1"/>
  <c r="F70" i="1"/>
  <c r="D71" i="1"/>
  <c r="F71" i="1" s="1"/>
  <c r="E70" i="1"/>
  <c r="G70" i="1" s="1"/>
  <c r="D70" i="1"/>
  <c r="E69" i="1"/>
  <c r="D69" i="1"/>
  <c r="F69" i="1" s="1"/>
  <c r="G64" i="1"/>
  <c r="G65" i="1"/>
  <c r="G66" i="1"/>
  <c r="G67" i="1"/>
  <c r="F64" i="1"/>
  <c r="F65" i="1"/>
  <c r="F66" i="1"/>
  <c r="F67" i="1"/>
  <c r="E67" i="1"/>
  <c r="D67" i="1"/>
  <c r="E63" i="1"/>
  <c r="G63" i="1" s="1"/>
  <c r="D63" i="1"/>
  <c r="F63" i="1" s="1"/>
  <c r="G60" i="1"/>
  <c r="F59" i="1"/>
  <c r="F57" i="1"/>
  <c r="E61" i="1"/>
  <c r="G61" i="1" s="1"/>
  <c r="D61" i="1"/>
  <c r="F61" i="1" s="1"/>
  <c r="E60" i="1"/>
  <c r="D60" i="1"/>
  <c r="F60" i="1" s="1"/>
  <c r="E59" i="1"/>
  <c r="G59" i="1" s="1"/>
  <c r="D59" i="1"/>
  <c r="E58" i="1"/>
  <c r="G58" i="1" s="1"/>
  <c r="D58" i="1"/>
  <c r="F58" i="1" s="1"/>
  <c r="E57" i="1"/>
  <c r="G57" i="1" s="1"/>
  <c r="D57" i="1"/>
  <c r="F55" i="1"/>
  <c r="E55" i="1"/>
  <c r="G55" i="1" s="1"/>
  <c r="E53" i="1"/>
  <c r="D55" i="1"/>
  <c r="G51" i="1"/>
  <c r="G53" i="1"/>
  <c r="F51" i="1"/>
  <c r="F52" i="1"/>
  <c r="D53" i="1"/>
  <c r="F53" i="1" s="1"/>
  <c r="E52" i="1"/>
  <c r="G52" i="1" s="1"/>
  <c r="D52" i="1"/>
  <c r="E51" i="1"/>
  <c r="E50" i="1"/>
  <c r="G50" i="1" s="1"/>
  <c r="D50" i="1"/>
  <c r="F50" i="1" s="1"/>
  <c r="G48" i="1"/>
  <c r="G45" i="1"/>
  <c r="F46" i="1"/>
  <c r="E48" i="1"/>
  <c r="E47" i="1"/>
  <c r="G47" i="1" s="1"/>
  <c r="E46" i="1"/>
  <c r="G46" i="1" s="1"/>
  <c r="D48" i="1"/>
  <c r="F48" i="1" s="1"/>
  <c r="D47" i="1"/>
  <c r="F47" i="1" s="1"/>
  <c r="D46" i="1"/>
  <c r="E45" i="1"/>
  <c r="D45" i="1"/>
  <c r="F45" i="1" s="1"/>
  <c r="G41" i="1"/>
  <c r="G40" i="1"/>
  <c r="F41" i="1"/>
  <c r="E43" i="1"/>
  <c r="G43" i="1" s="1"/>
  <c r="E42" i="1"/>
  <c r="G42" i="1" s="1"/>
  <c r="E41" i="1"/>
  <c r="E40" i="1"/>
  <c r="D43" i="1"/>
  <c r="F43" i="1" s="1"/>
  <c r="D42" i="1"/>
  <c r="F42" i="1" s="1"/>
  <c r="D41" i="1"/>
  <c r="D40" i="1"/>
  <c r="F40" i="1" s="1"/>
  <c r="F33" i="1"/>
  <c r="F34" i="1"/>
  <c r="F35" i="1"/>
  <c r="F36" i="1"/>
  <c r="F37" i="1"/>
  <c r="F38" i="1"/>
  <c r="F32" i="1"/>
  <c r="F31" i="1"/>
  <c r="G34" i="1"/>
  <c r="G35" i="1"/>
  <c r="G36" i="1"/>
  <c r="G37" i="1"/>
  <c r="G38" i="1"/>
  <c r="G32" i="1"/>
  <c r="G33" i="1"/>
  <c r="G31" i="1"/>
  <c r="E29" i="1" l="1"/>
  <c r="G29" i="1" s="1"/>
  <c r="D29" i="1"/>
  <c r="F29" i="1" s="1"/>
  <c r="E28" i="1"/>
  <c r="G28" i="1" s="1"/>
  <c r="D28" i="1"/>
  <c r="F28" i="1" s="1"/>
</calcChain>
</file>

<file path=xl/sharedStrings.xml><?xml version="1.0" encoding="utf-8"?>
<sst xmlns="http://schemas.openxmlformats.org/spreadsheetml/2006/main" count="192" uniqueCount="136">
  <si>
    <r>
      <rPr>
        <sz val="13"/>
        <rFont val="Times New Roman"/>
      </rPr>
      <t>Приложение</t>
    </r>
  </si>
  <si>
    <r>
      <rPr>
        <sz val="13"/>
        <rFont val="Times New Roman"/>
      </rPr>
      <t>к Приказу Министерства</t>
    </r>
  </si>
  <si>
    <r>
      <rPr>
        <sz val="13"/>
        <rFont val="Times New Roman"/>
      </rPr>
      <t xml:space="preserve">от </t>
    </r>
    <r>
      <rPr>
        <i/>
        <u/>
        <sz val="9"/>
        <rFont val="Times New Roman"/>
      </rPr>
      <t>M,PJ.</t>
    </r>
  </si>
  <si>
    <r>
      <rPr>
        <sz val="13"/>
        <rFont val="Times New Roman"/>
      </rPr>
      <t>Нормативы</t>
    </r>
  </si>
  <si>
    <r>
      <rPr>
        <sz val="13"/>
        <rFont val="Times New Roman"/>
      </rPr>
      <t>накопления твердых коммунальных отходов на территории Тверской области</t>
    </r>
  </si>
  <si>
    <r>
      <rPr>
        <sz val="11"/>
        <rFont val="Times New Roman"/>
      </rPr>
      <t>Нормативы</t>
    </r>
  </si>
  <si>
    <r>
      <rPr>
        <sz val="11"/>
        <rFont val="Times New Roman"/>
      </rPr>
      <t>накопления твердых коммунальных отходов на территории Тверской области в</t>
    </r>
  </si>
  <si>
    <r>
      <rPr>
        <sz val="11"/>
        <rFont val="Times New Roman"/>
      </rPr>
      <t>.    домовладениях</t>
    </r>
  </si>
  <si>
    <r>
      <rPr>
        <sz val="11"/>
        <rFont val="Times New Roman"/>
      </rPr>
      <t>№ п/п</t>
    </r>
  </si>
  <si>
    <r>
      <rPr>
        <sz val="11"/>
        <rFont val="Times New Roman"/>
      </rPr>
      <t>1</t>
    </r>
  </si>
  <si>
    <r>
      <rPr>
        <sz val="11"/>
        <rFont val="Times New Roman"/>
      </rPr>
      <t>Расчетная единица, в отношении которой устанавливается норматив</t>
    </r>
  </si>
  <si>
    <r>
      <rPr>
        <sz val="11"/>
        <rFont val="Times New Roman"/>
      </rPr>
      <t>в городе Тверь</t>
    </r>
  </si>
  <si>
    <r>
      <rPr>
        <sz val="11"/>
        <rFont val="Times New Roman"/>
      </rPr>
      <t>1 человек</t>
    </r>
  </si>
  <si>
    <r>
      <rPr>
        <sz val="11"/>
        <rFont val="Times New Roman"/>
      </rPr>
      <t>в Тверской области</t>
    </r>
  </si>
  <si>
    <r>
      <rPr>
        <sz val="11"/>
        <rFont val="Times New Roman"/>
      </rPr>
      <t>Нормативы накопления твердых коммунальных отходов, мЗ/год</t>
    </r>
  </si>
  <si>
    <r>
      <rPr>
        <sz val="11"/>
        <rFont val="Times New Roman"/>
      </rPr>
      <t>в многоквартирных домах</t>
    </r>
  </si>
  <si>
    <r>
      <rPr>
        <sz val="11"/>
        <rFont val="Times New Roman"/>
      </rPr>
      <t>2,185</t>
    </r>
  </si>
  <si>
    <r>
      <rPr>
        <sz val="11"/>
        <rFont val="Times New Roman"/>
      </rPr>
      <t>1,782</t>
    </r>
  </si>
  <si>
    <r>
      <rPr>
        <sz val="11"/>
        <rFont val="Times New Roman"/>
      </rPr>
      <t>в индивидуальных жилых домах</t>
    </r>
  </si>
  <si>
    <r>
      <rPr>
        <sz val="11"/>
        <rFont val="Times New Roman"/>
      </rPr>
      <t>3,315</t>
    </r>
  </si>
  <si>
    <r>
      <rPr>
        <sz val="11"/>
        <rFont val="Times New Roman"/>
      </rPr>
      <t>1,823</t>
    </r>
  </si>
  <si>
    <t>Тарифы по нормативам накопления твердых коммунальных отходов для объектов общественного назначения (ЮРЛИЦА)</t>
  </si>
  <si>
    <t>Культурно-развлекательные, спортивные учреждения:</t>
  </si>
  <si>
    <r>
      <rPr>
        <b/>
        <sz val="11"/>
        <rFont val="Times New Roman"/>
        <family val="1"/>
        <charset val="204"/>
      </rPr>
      <t>5</t>
    </r>
  </si>
  <si>
    <t>Расчетная единица, в отношении которой устанавливается тариф</t>
  </si>
  <si>
    <t>2.2</t>
  </si>
  <si>
    <t>2.3</t>
  </si>
  <si>
    <t>2.4</t>
  </si>
  <si>
    <t>2.5</t>
  </si>
  <si>
    <t>2.6</t>
  </si>
  <si>
    <t>2.7</t>
  </si>
  <si>
    <t>2.8</t>
  </si>
  <si>
    <t>3</t>
  </si>
  <si>
    <t>3.1</t>
  </si>
  <si>
    <t>3.2</t>
  </si>
  <si>
    <t>3.3</t>
  </si>
  <si>
    <t>3.4</t>
  </si>
  <si>
    <t>4</t>
  </si>
  <si>
    <t>4.1</t>
  </si>
  <si>
    <t>№ п/п</t>
  </si>
  <si>
    <t>Наименование категории объектов</t>
  </si>
  <si>
    <t>город Тверь</t>
  </si>
  <si>
    <t>Тверская область</t>
  </si>
  <si>
    <t>1</t>
  </si>
  <si>
    <t>Административные здания, учреждения, конторы:</t>
  </si>
  <si>
    <t>1.1</t>
  </si>
  <si>
    <t>административные, офисные учреждения, конторы</t>
  </si>
  <si>
    <t>1 сотрудник</t>
  </si>
  <si>
    <t>1.2</t>
  </si>
  <si>
    <t>отделения связи, в том числе, почтовой</t>
  </si>
  <si>
    <t>2</t>
  </si>
  <si>
    <t>Предприятия торговли:</t>
  </si>
  <si>
    <t>2.1</t>
  </si>
  <si>
    <t>магазин продовольственный</t>
  </si>
  <si>
    <t>1 кв. метр торговой площади -</t>
  </si>
  <si>
    <t>магазин промтоварный</t>
  </si>
  <si>
    <t>1 кв. метр торговой площади</t>
  </si>
  <si>
    <t>магазин универсальный (в т.ч. супермаркет, гипермаркет)</t>
  </si>
  <si>
    <t>аптека</t>
  </si>
  <si>
    <t>павильон, палатка, киоск, лоток</t>
  </si>
  <si>
    <t>торговля с машин, ярмарки</t>
  </si>
  <si>
    <t>1 торговое место (1 кв. метр торговой площади)</t>
  </si>
  <si>
    <t>рынки продовольственные и промтоварные</t>
  </si>
  <si>
    <t>оптовые базы, склады продовольственных и промышленных товаров</t>
  </si>
  <si>
    <t>1 кв. метр общей площади</t>
  </si>
  <si>
    <t>Предприятия транспортной инфраструктуры:</t>
  </si>
  <si>
    <t>автомастерские, шиномонтажная мастерская, станции технического обслуживания, автозаправочные станции, автомойки</t>
  </si>
  <si>
    <t>1 машино-место</t>
  </si>
  <si>
    <t>лодочные станции и яхт-клубы</t>
  </si>
  <si>
    <t>1 место</t>
  </si>
  <si>
    <t>автостоянки, парковки, гаражи</t>
  </si>
  <si>
    <t>железнодорожные и автовокзалы, аэропорты, речные порты</t>
  </si>
  <si>
    <t>Дошкольные и учебные заведения:</t>
  </si>
  <si>
    <t>дошкольное образовательное учреждение</t>
  </si>
  <si>
    <t>1 ребенок</t>
  </si>
  <si>
    <t>4.2</t>
  </si>
  <si>
    <t>общеобразовательное учреждение</t>
  </si>
  <si>
    <t>1 учащийся</t>
  </si>
  <si>
    <t>4.3</t>
  </si>
  <si>
    <t>учреждение начального и среднего профессионального образования, высшего и послевузовского образования или иное учреждение, осуществляющее образовательный процесс</t>
  </si>
  <si>
    <t>4.4</t>
  </si>
  <si>
    <t>детские дома, интернаты</t>
  </si>
  <si>
    <t>1 воспитанник</t>
  </si>
  <si>
    <t>5</t>
  </si>
  <si>
    <t>5.1</t>
  </si>
  <si>
    <t>кинотеатры, театры, цирки, стадионы, библиотеки, архивы</t>
  </si>
  <si>
    <t>5.2</t>
  </si>
  <si>
    <t>выставочные залы, музеи</t>
  </si>
  <si>
    <t>5.3</t>
  </si>
  <si>
    <t>парки отдыха</t>
  </si>
  <si>
    <t>5.4</t>
  </si>
  <si>
    <t>дома отдыха, туристические базы, детские оздоровительные лагеря</t>
  </si>
  <si>
    <t>6</t>
  </si>
  <si>
    <t>Предприятия общественного листания:</t>
  </si>
  <si>
    <t>6.1</t>
  </si>
  <si>
    <t>кафе, рестораны, бары, закусочные, столовые</t>
  </si>
  <si>
    <t>7</t>
  </si>
  <si>
    <t>Предприятия службы быта:</t>
  </si>
  <si>
    <t>7.1</t>
  </si>
  <si>
    <t>Ателье, химчистки и прачечные, мастерские по ремонту бытовой и компьютерной техники, обуви, ключей, часов, очков, ювелирные мастерские, фотоателье и т.п.</t>
  </si>
  <si>
    <t>7.2</t>
  </si>
  <si>
    <t>парикмахерские, косметические салоны, салоны красоты</t>
  </si>
  <si>
    <t>7.3</t>
  </si>
  <si>
    <t>гостиницы</t>
  </si>
  <si>
    <t>7.4</t>
  </si>
  <si>
    <t>общежития .</t>
  </si>
  <si>
    <t>7.5</t>
  </si>
  <si>
    <t>бани, сауны • &gt; .</t>
  </si>
  <si>
    <t>8</t>
  </si>
  <si>
    <t>Предприятия в сфере похоронных услуг:</t>
  </si>
  <si>
    <t>8.1</t>
  </si>
  <si>
    <t>кладбища</t>
  </si>
  <si>
    <t>8.2</t>
  </si>
  <si>
    <t>организация, оказывающая ритуальные услуги</t>
  </si>
  <si>
    <t>9</t>
  </si>
  <si>
    <t>Иные объекты общественного назначения:</t>
  </si>
  <si>
    <t>9.1</t>
  </si>
  <si>
    <t>садоводческие кооперативы, садово-огородные товарищества</t>
  </si>
  <si>
    <t>1 участник (член)</t>
  </si>
  <si>
    <t>9.2</t>
  </si>
  <si>
    <t>пляж</t>
  </si>
  <si>
    <t>9.3</t>
  </si>
  <si>
    <t>сбор смета с дорог, тротуаров, площадей и других территорий</t>
  </si>
  <si>
    <t>1 кв. метр площади</t>
  </si>
  <si>
    <t>1 место (1 га общей площади)</t>
  </si>
  <si>
    <t>Тариф годовой</t>
  </si>
  <si>
    <t>Тариф ежемесячный</t>
  </si>
  <si>
    <t>Тарифы по нормативам накопления твердых коммунальных отходов на территории Тверской области в домовладениях  (Физ.лица)</t>
  </si>
  <si>
    <t>ГОРОД ТВЕРЬ</t>
  </si>
  <si>
    <t>МКД</t>
  </si>
  <si>
    <t>ИЖД</t>
  </si>
  <si>
    <t>ТВЕРСКАЯ ОБЛАСТЬ</t>
  </si>
  <si>
    <t>1 человек</t>
  </si>
  <si>
    <t>*- тариф - 641,52 руб.</t>
  </si>
  <si>
    <t>*-тариф 641,52 руб.</t>
  </si>
  <si>
    <t>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</si>
</sst>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3"/>
      <name val="Times New Roman"/>
    </font>
    <font>
      <i/>
      <u/>
      <sz val="9"/>
      <name val="Times New Roman"/>
    </font>
    <font>
      <sz val="11"/>
      <name val="Times New Roman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top" wrapText="1"/>
    </xf>
    <xf numFmtId="0" fontId="4" fillId="0" borderId="20" xfId="0" applyFont="1" applyBorder="1" applyAlignment="1">
      <alignment wrapText="1"/>
    </xf>
    <xf numFmtId="0" fontId="4" fillId="0" borderId="20" xfId="0" applyFont="1" applyBorder="1" applyAlignment="1">
      <alignment vertical="top" wrapText="1"/>
    </xf>
    <xf numFmtId="0" fontId="0" fillId="0" borderId="20" xfId="0" applyBorder="1"/>
    <xf numFmtId="4" fontId="4" fillId="0" borderId="20" xfId="0" applyNumberFormat="1" applyFont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vertical="center" wrapText="1"/>
    </xf>
    <xf numFmtId="4" fontId="4" fillId="0" borderId="20" xfId="0" applyNumberFormat="1" applyFont="1" applyBorder="1" applyAlignment="1">
      <alignment horizontal="right"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22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top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6" fillId="0" borderId="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23" workbookViewId="0">
      <selection activeCell="A23" sqref="A23:G33"/>
    </sheetView>
  </sheetViews>
  <sheetFormatPr defaultRowHeight="12.75" x14ac:dyDescent="0.2"/>
  <cols>
    <col min="1" max="1" width="9.140625" style="3"/>
    <col min="2" max="2" width="29" style="3" customWidth="1"/>
    <col min="3" max="3" width="8.42578125" style="3" customWidth="1"/>
    <col min="4" max="5" width="12.28515625" style="3" customWidth="1"/>
    <col min="6" max="6" width="11" customWidth="1"/>
    <col min="7" max="7" width="10.140625" customWidth="1"/>
  </cols>
  <sheetData>
    <row r="1" spans="1:4" ht="33" hidden="1" x14ac:dyDescent="0.2">
      <c r="A1" s="2" t="s">
        <v>0</v>
      </c>
    </row>
    <row r="2" spans="1:4" ht="82.5" hidden="1" x14ac:dyDescent="0.2">
      <c r="A2" s="2" t="s">
        <v>1</v>
      </c>
    </row>
    <row r="3" spans="1:4" hidden="1" x14ac:dyDescent="0.2"/>
    <row r="4" spans="1:4" ht="16.5" hidden="1" x14ac:dyDescent="0.2">
      <c r="A4" s="2" t="s">
        <v>2</v>
      </c>
    </row>
    <row r="5" spans="1:4" hidden="1" x14ac:dyDescent="0.2"/>
    <row r="6" spans="1:4" ht="33" hidden="1" x14ac:dyDescent="0.2">
      <c r="A6" s="2" t="s">
        <v>3</v>
      </c>
    </row>
    <row r="7" spans="1:4" hidden="1" x14ac:dyDescent="0.2"/>
    <row r="8" spans="1:4" ht="214.5" hidden="1" x14ac:dyDescent="0.2">
      <c r="A8" s="2" t="s">
        <v>4</v>
      </c>
    </row>
    <row r="9" spans="1:4" hidden="1" x14ac:dyDescent="0.2"/>
    <row r="10" spans="1:4" ht="30" hidden="1" x14ac:dyDescent="0.2">
      <c r="A10" s="4" t="s">
        <v>5</v>
      </c>
    </row>
    <row r="11" spans="1:4" hidden="1" x14ac:dyDescent="0.2"/>
    <row r="12" spans="1:4" ht="195" hidden="1" x14ac:dyDescent="0.2">
      <c r="A12" s="4" t="s">
        <v>6</v>
      </c>
    </row>
    <row r="13" spans="1:4" ht="45" hidden="1" x14ac:dyDescent="0.2">
      <c r="A13" s="4" t="s">
        <v>7</v>
      </c>
    </row>
    <row r="14" spans="1:4" hidden="1" x14ac:dyDescent="0.2"/>
    <row r="15" spans="1:4" ht="13.5" hidden="1" thickBot="1" x14ac:dyDescent="0.25">
      <c r="A15" s="30" t="s">
        <v>8</v>
      </c>
      <c r="B15" s="32" t="s">
        <v>10</v>
      </c>
      <c r="C15" s="34" t="s">
        <v>14</v>
      </c>
      <c r="D15" s="35"/>
    </row>
    <row r="16" spans="1:4" ht="60.75" hidden="1" thickBot="1" x14ac:dyDescent="0.3">
      <c r="A16" s="31"/>
      <c r="B16" s="33"/>
      <c r="C16" s="1" t="s">
        <v>15</v>
      </c>
      <c r="D16" s="1" t="s">
        <v>18</v>
      </c>
    </row>
    <row r="17" spans="1:8" ht="13.5" hidden="1" thickBot="1" x14ac:dyDescent="0.25">
      <c r="A17" s="5"/>
      <c r="B17" s="36" t="s">
        <v>11</v>
      </c>
      <c r="C17" s="37"/>
      <c r="D17" s="38"/>
    </row>
    <row r="18" spans="1:8" ht="15.75" hidden="1" thickBot="1" x14ac:dyDescent="0.25">
      <c r="A18" s="6" t="s">
        <v>9</v>
      </c>
      <c r="B18" s="7" t="s">
        <v>12</v>
      </c>
      <c r="C18" s="7" t="s">
        <v>16</v>
      </c>
      <c r="D18" s="7" t="s">
        <v>19</v>
      </c>
    </row>
    <row r="19" spans="1:8" ht="14.25" hidden="1" thickBot="1" x14ac:dyDescent="0.3">
      <c r="A19" s="5"/>
      <c r="B19" s="39" t="s">
        <v>13</v>
      </c>
      <c r="C19" s="40"/>
      <c r="D19" s="41"/>
    </row>
    <row r="20" spans="1:8" ht="15.75" hidden="1" thickBot="1" x14ac:dyDescent="0.25">
      <c r="A20" s="6" t="s">
        <v>9</v>
      </c>
      <c r="B20" s="7" t="s">
        <v>12</v>
      </c>
      <c r="C20" s="7" t="s">
        <v>17</v>
      </c>
      <c r="D20" s="7" t="s">
        <v>20</v>
      </c>
    </row>
    <row r="21" spans="1:8" hidden="1" x14ac:dyDescent="0.2"/>
    <row r="22" spans="1:8" hidden="1" x14ac:dyDescent="0.2">
      <c r="A22" s="4"/>
    </row>
    <row r="23" spans="1:8" ht="69.75" customHeight="1" x14ac:dyDescent="0.2">
      <c r="A23" s="42" t="s">
        <v>127</v>
      </c>
      <c r="B23" s="42"/>
      <c r="C23" s="42"/>
      <c r="D23" s="42"/>
      <c r="E23" s="42"/>
      <c r="F23" s="42"/>
      <c r="G23" s="42"/>
    </row>
    <row r="24" spans="1:8" ht="15" x14ac:dyDescent="0.25">
      <c r="A24" s="8"/>
      <c r="B24" s="8"/>
      <c r="C24" s="8"/>
      <c r="D24" s="8"/>
      <c r="E24" s="8"/>
      <c r="G24" s="23" t="s">
        <v>135</v>
      </c>
    </row>
    <row r="25" spans="1:8" ht="27" customHeight="1" x14ac:dyDescent="0.2">
      <c r="A25" s="28" t="s">
        <v>39</v>
      </c>
      <c r="B25" s="43" t="s">
        <v>24</v>
      </c>
      <c r="C25" s="44"/>
      <c r="D25" s="29" t="s">
        <v>125</v>
      </c>
      <c r="E25" s="29"/>
      <c r="F25" s="47" t="s">
        <v>126</v>
      </c>
      <c r="G25" s="48"/>
    </row>
    <row r="26" spans="1:8" ht="15" x14ac:dyDescent="0.2">
      <c r="A26" s="28"/>
      <c r="B26" s="45"/>
      <c r="C26" s="46"/>
      <c r="D26" s="9" t="s">
        <v>129</v>
      </c>
      <c r="E26" s="9" t="s">
        <v>130</v>
      </c>
      <c r="F26" s="9" t="s">
        <v>129</v>
      </c>
      <c r="G26" s="9" t="s">
        <v>130</v>
      </c>
    </row>
    <row r="27" spans="1:8" ht="15" x14ac:dyDescent="0.2">
      <c r="A27" s="10" t="s">
        <v>43</v>
      </c>
      <c r="B27" s="49" t="s">
        <v>128</v>
      </c>
      <c r="C27" s="50"/>
      <c r="D27" s="50"/>
      <c r="E27" s="50"/>
      <c r="F27" s="50"/>
      <c r="G27" s="51"/>
      <c r="H27" s="24"/>
    </row>
    <row r="28" spans="1:8" ht="15" x14ac:dyDescent="0.2">
      <c r="A28" s="11"/>
      <c r="B28" s="26" t="s">
        <v>132</v>
      </c>
      <c r="C28" s="27"/>
      <c r="D28" s="21">
        <f>2.185*641.52</f>
        <v>1401.7212</v>
      </c>
      <c r="E28" s="21">
        <f>3.315*641.52</f>
        <v>2126.6387999999997</v>
      </c>
      <c r="F28" s="21">
        <f>D28/12</f>
        <v>116.81009999999999</v>
      </c>
      <c r="G28" s="21">
        <f>E28/12</f>
        <v>177.21989999999997</v>
      </c>
    </row>
    <row r="29" spans="1:8" ht="14.25" x14ac:dyDescent="0.2">
      <c r="A29" s="10">
        <v>2</v>
      </c>
      <c r="B29" s="49" t="s">
        <v>131</v>
      </c>
      <c r="C29" s="50"/>
      <c r="D29" s="50"/>
      <c r="E29" s="50"/>
      <c r="F29" s="50"/>
      <c r="G29" s="51"/>
    </row>
    <row r="30" spans="1:8" ht="15" x14ac:dyDescent="0.2">
      <c r="A30" s="11"/>
      <c r="B30" s="26" t="s">
        <v>132</v>
      </c>
      <c r="C30" s="27"/>
      <c r="D30" s="21">
        <f>1.782*641.52</f>
        <v>1143.1886400000001</v>
      </c>
      <c r="E30" s="21">
        <f>1.823*641.52</f>
        <v>1169.4909599999999</v>
      </c>
      <c r="F30" s="21">
        <f>D30/12</f>
        <v>95.265720000000002</v>
      </c>
      <c r="G30" s="21">
        <f>E30/12</f>
        <v>97.457579999999993</v>
      </c>
    </row>
    <row r="32" spans="1:8" x14ac:dyDescent="0.2">
      <c r="A32" s="25" t="s">
        <v>133</v>
      </c>
      <c r="B32" s="25"/>
      <c r="C32" s="25"/>
      <c r="D32" s="25"/>
      <c r="E32" s="25"/>
      <c r="F32" s="25"/>
      <c r="G32" s="25"/>
    </row>
  </sheetData>
  <mergeCells count="15">
    <mergeCell ref="A32:G32"/>
    <mergeCell ref="B30:C30"/>
    <mergeCell ref="A25:A26"/>
    <mergeCell ref="D25:E25"/>
    <mergeCell ref="A15:A16"/>
    <mergeCell ref="B15:B16"/>
    <mergeCell ref="C15:D15"/>
    <mergeCell ref="B17:D17"/>
    <mergeCell ref="B19:D19"/>
    <mergeCell ref="A23:G23"/>
    <mergeCell ref="B25:C26"/>
    <mergeCell ref="F25:G25"/>
    <mergeCell ref="B28:C28"/>
    <mergeCell ref="B29:G29"/>
    <mergeCell ref="B27:G27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topLeftCell="A23" workbookViewId="0">
      <selection activeCell="P23" sqref="P23"/>
    </sheetView>
  </sheetViews>
  <sheetFormatPr defaultRowHeight="12.75" x14ac:dyDescent="0.2"/>
  <cols>
    <col min="1" max="1" width="8" style="3"/>
    <col min="2" max="2" width="29" style="3" customWidth="1"/>
    <col min="3" max="3" width="28.28515625" style="3" customWidth="1"/>
    <col min="4" max="5" width="12.28515625" style="3" customWidth="1"/>
    <col min="6" max="6" width="11" customWidth="1"/>
    <col min="7" max="7" width="10.140625" customWidth="1"/>
  </cols>
  <sheetData>
    <row r="1" spans="1:4" ht="33" hidden="1" x14ac:dyDescent="0.2">
      <c r="A1" s="2" t="s">
        <v>0</v>
      </c>
    </row>
    <row r="2" spans="1:4" ht="99" hidden="1" x14ac:dyDescent="0.2">
      <c r="A2" s="2" t="s">
        <v>1</v>
      </c>
    </row>
    <row r="3" spans="1:4" hidden="1" x14ac:dyDescent="0.2"/>
    <row r="4" spans="1:4" ht="28.5" hidden="1" x14ac:dyDescent="0.2">
      <c r="A4" s="2" t="s">
        <v>2</v>
      </c>
    </row>
    <row r="5" spans="1:4" hidden="1" x14ac:dyDescent="0.2"/>
    <row r="6" spans="1:4" ht="33" hidden="1" x14ac:dyDescent="0.2">
      <c r="A6" s="2" t="s">
        <v>3</v>
      </c>
    </row>
    <row r="7" spans="1:4" hidden="1" x14ac:dyDescent="0.2"/>
    <row r="8" spans="1:4" ht="247.5" hidden="1" x14ac:dyDescent="0.2">
      <c r="A8" s="2" t="s">
        <v>4</v>
      </c>
    </row>
    <row r="9" spans="1:4" hidden="1" x14ac:dyDescent="0.2"/>
    <row r="10" spans="1:4" ht="30" hidden="1" x14ac:dyDescent="0.2">
      <c r="A10" s="4" t="s">
        <v>5</v>
      </c>
    </row>
    <row r="11" spans="1:4" hidden="1" x14ac:dyDescent="0.2"/>
    <row r="12" spans="1:4" ht="210" hidden="1" x14ac:dyDescent="0.2">
      <c r="A12" s="4" t="s">
        <v>6</v>
      </c>
    </row>
    <row r="13" spans="1:4" ht="60" hidden="1" x14ac:dyDescent="0.2">
      <c r="A13" s="4" t="s">
        <v>7</v>
      </c>
    </row>
    <row r="14" spans="1:4" hidden="1" x14ac:dyDescent="0.2"/>
    <row r="15" spans="1:4" ht="13.5" hidden="1" thickBot="1" x14ac:dyDescent="0.25">
      <c r="A15" s="30" t="s">
        <v>8</v>
      </c>
      <c r="B15" s="32" t="s">
        <v>10</v>
      </c>
      <c r="C15" s="34" t="s">
        <v>14</v>
      </c>
      <c r="D15" s="35"/>
    </row>
    <row r="16" spans="1:4" ht="60" hidden="1" x14ac:dyDescent="0.25">
      <c r="A16" s="31"/>
      <c r="B16" s="33"/>
      <c r="C16" s="1" t="s">
        <v>15</v>
      </c>
      <c r="D16" s="1" t="s">
        <v>18</v>
      </c>
    </row>
    <row r="17" spans="1:7" hidden="1" x14ac:dyDescent="0.2">
      <c r="A17" s="5"/>
      <c r="B17" s="36" t="s">
        <v>11</v>
      </c>
      <c r="C17" s="37"/>
      <c r="D17" s="38"/>
    </row>
    <row r="18" spans="1:7" ht="15" hidden="1" x14ac:dyDescent="0.2">
      <c r="A18" s="6" t="s">
        <v>9</v>
      </c>
      <c r="B18" s="7" t="s">
        <v>12</v>
      </c>
      <c r="C18" s="7" t="s">
        <v>16</v>
      </c>
      <c r="D18" s="7" t="s">
        <v>19</v>
      </c>
    </row>
    <row r="19" spans="1:7" ht="13.5" hidden="1" x14ac:dyDescent="0.25">
      <c r="A19" s="5"/>
      <c r="B19" s="39" t="s">
        <v>13</v>
      </c>
      <c r="C19" s="40"/>
      <c r="D19" s="41"/>
    </row>
    <row r="20" spans="1:7" ht="15" hidden="1" x14ac:dyDescent="0.2">
      <c r="A20" s="6" t="s">
        <v>9</v>
      </c>
      <c r="B20" s="7" t="s">
        <v>12</v>
      </c>
      <c r="C20" s="7" t="s">
        <v>17</v>
      </c>
      <c r="D20" s="7" t="s">
        <v>20</v>
      </c>
    </row>
    <row r="21" spans="1:7" hidden="1" x14ac:dyDescent="0.2"/>
    <row r="22" spans="1:7" hidden="1" x14ac:dyDescent="0.2">
      <c r="A22" s="4"/>
    </row>
    <row r="23" spans="1:7" ht="47.25" customHeight="1" x14ac:dyDescent="0.2">
      <c r="A23" s="42" t="s">
        <v>21</v>
      </c>
      <c r="B23" s="42"/>
      <c r="C23" s="42"/>
      <c r="D23" s="42"/>
      <c r="E23" s="42"/>
      <c r="F23" s="42"/>
      <c r="G23" s="42"/>
    </row>
    <row r="24" spans="1:7" ht="15" x14ac:dyDescent="0.25">
      <c r="A24" s="8"/>
      <c r="B24" s="8"/>
      <c r="C24" s="8"/>
      <c r="D24" s="8"/>
      <c r="E24" s="8"/>
      <c r="G24" s="23" t="s">
        <v>135</v>
      </c>
    </row>
    <row r="25" spans="1:7" ht="27" customHeight="1" x14ac:dyDescent="0.2">
      <c r="A25" s="28" t="s">
        <v>39</v>
      </c>
      <c r="B25" s="28" t="s">
        <v>40</v>
      </c>
      <c r="C25" s="52" t="s">
        <v>24</v>
      </c>
      <c r="D25" s="29" t="s">
        <v>125</v>
      </c>
      <c r="E25" s="29"/>
      <c r="F25" s="29" t="s">
        <v>126</v>
      </c>
      <c r="G25" s="29"/>
    </row>
    <row r="26" spans="1:7" ht="30" x14ac:dyDescent="0.2">
      <c r="A26" s="28"/>
      <c r="B26" s="28"/>
      <c r="C26" s="52"/>
      <c r="D26" s="9" t="s">
        <v>41</v>
      </c>
      <c r="E26" s="9" t="s">
        <v>42</v>
      </c>
      <c r="F26" s="9" t="s">
        <v>41</v>
      </c>
      <c r="G26" s="9" t="s">
        <v>42</v>
      </c>
    </row>
    <row r="27" spans="1:7" ht="14.25" x14ac:dyDescent="0.2">
      <c r="A27" s="10" t="s">
        <v>43</v>
      </c>
      <c r="B27" s="53" t="s">
        <v>44</v>
      </c>
      <c r="C27" s="53"/>
      <c r="D27" s="53"/>
      <c r="E27" s="53"/>
      <c r="F27" s="18"/>
      <c r="G27" s="18"/>
    </row>
    <row r="28" spans="1:7" ht="30" x14ac:dyDescent="0.2">
      <c r="A28" s="11" t="s">
        <v>45</v>
      </c>
      <c r="B28" s="12" t="s">
        <v>46</v>
      </c>
      <c r="C28" s="11" t="s">
        <v>47</v>
      </c>
      <c r="D28" s="21">
        <f>1.194*641.52</f>
        <v>765.97487999999998</v>
      </c>
      <c r="E28" s="21">
        <f>0.819*641.52</f>
        <v>525.40487999999993</v>
      </c>
      <c r="F28" s="21">
        <f>D28/12</f>
        <v>63.831240000000001</v>
      </c>
      <c r="G28" s="21">
        <f>E28/12</f>
        <v>43.783739999999995</v>
      </c>
    </row>
    <row r="29" spans="1:7" ht="30" x14ac:dyDescent="0.2">
      <c r="A29" s="11" t="s">
        <v>48</v>
      </c>
      <c r="B29" s="11" t="s">
        <v>49</v>
      </c>
      <c r="C29" s="11" t="s">
        <v>47</v>
      </c>
      <c r="D29" s="21">
        <f>1.104*641.52</f>
        <v>708.23808000000008</v>
      </c>
      <c r="E29" s="21">
        <f>0.463*641.52</f>
        <v>297.02375999999998</v>
      </c>
      <c r="F29" s="21">
        <f>D29/12</f>
        <v>59.019840000000009</v>
      </c>
      <c r="G29" s="21">
        <f>E29/12</f>
        <v>24.75198</v>
      </c>
    </row>
    <row r="30" spans="1:7" ht="15" x14ac:dyDescent="0.2">
      <c r="A30" s="13" t="s">
        <v>50</v>
      </c>
      <c r="B30" s="53" t="s">
        <v>51</v>
      </c>
      <c r="C30" s="53"/>
      <c r="D30" s="53"/>
      <c r="E30" s="12"/>
      <c r="F30" s="19"/>
      <c r="G30" s="19"/>
    </row>
    <row r="31" spans="1:7" ht="15" x14ac:dyDescent="0.2">
      <c r="A31" s="11" t="s">
        <v>52</v>
      </c>
      <c r="B31" s="12" t="s">
        <v>53</v>
      </c>
      <c r="C31" s="12" t="s">
        <v>54</v>
      </c>
      <c r="D31" s="20">
        <f>1.93*641.52</f>
        <v>1238.1335999999999</v>
      </c>
      <c r="E31" s="20">
        <f>1.674*641.52</f>
        <v>1073.9044799999999</v>
      </c>
      <c r="F31" s="20">
        <f>D31/12</f>
        <v>103.17779999999999</v>
      </c>
      <c r="G31" s="20">
        <f>E31/12</f>
        <v>89.492039999999989</v>
      </c>
    </row>
    <row r="32" spans="1:7" ht="15" x14ac:dyDescent="0.2">
      <c r="A32" s="11" t="s">
        <v>25</v>
      </c>
      <c r="B32" s="12" t="s">
        <v>55</v>
      </c>
      <c r="C32" s="14" t="s">
        <v>56</v>
      </c>
      <c r="D32" s="20">
        <f>1.16*641.52</f>
        <v>744.16319999999996</v>
      </c>
      <c r="E32" s="20">
        <f>1.194*641.52</f>
        <v>765.97487999999998</v>
      </c>
      <c r="F32" s="20">
        <f>D32/12</f>
        <v>62.013599999999997</v>
      </c>
      <c r="G32" s="20">
        <f t="shared" ref="G32:G38" si="0">E32/12</f>
        <v>63.831240000000001</v>
      </c>
    </row>
    <row r="33" spans="1:7" ht="30" x14ac:dyDescent="0.2">
      <c r="A33" s="11" t="s">
        <v>26</v>
      </c>
      <c r="B33" s="12" t="s">
        <v>57</v>
      </c>
      <c r="C33" s="15" t="s">
        <v>56</v>
      </c>
      <c r="D33" s="20">
        <f>1.46*641.52</f>
        <v>936.61919999999998</v>
      </c>
      <c r="E33" s="20">
        <f>1.525*641.52</f>
        <v>978.31799999999987</v>
      </c>
      <c r="F33" s="20">
        <f t="shared" ref="F33:F38" si="1">D33/12</f>
        <v>78.051599999999993</v>
      </c>
      <c r="G33" s="20">
        <f t="shared" si="0"/>
        <v>81.526499999999984</v>
      </c>
    </row>
    <row r="34" spans="1:7" ht="15" x14ac:dyDescent="0.2">
      <c r="A34" s="11" t="s">
        <v>27</v>
      </c>
      <c r="B34" s="12" t="s">
        <v>58</v>
      </c>
      <c r="C34" s="15" t="s">
        <v>56</v>
      </c>
      <c r="D34" s="20">
        <f>0.459*641.52</f>
        <v>294.45767999999998</v>
      </c>
      <c r="E34" s="20">
        <f>0.933*641.52</f>
        <v>598.53816000000006</v>
      </c>
      <c r="F34" s="20">
        <f t="shared" si="1"/>
        <v>24.538139999999999</v>
      </c>
      <c r="G34" s="20">
        <f t="shared" si="0"/>
        <v>49.878180000000008</v>
      </c>
    </row>
    <row r="35" spans="1:7" ht="30" x14ac:dyDescent="0.2">
      <c r="A35" s="11" t="s">
        <v>28</v>
      </c>
      <c r="B35" s="12" t="s">
        <v>59</v>
      </c>
      <c r="C35" s="15" t="s">
        <v>56</v>
      </c>
      <c r="D35" s="20">
        <f>7.03*641.52</f>
        <v>4509.8855999999996</v>
      </c>
      <c r="E35" s="20">
        <f>1.813*641.52</f>
        <v>1163.0757599999999</v>
      </c>
      <c r="F35" s="20">
        <f t="shared" si="1"/>
        <v>375.82379999999995</v>
      </c>
      <c r="G35" s="20">
        <f t="shared" si="0"/>
        <v>96.922979999999995</v>
      </c>
    </row>
    <row r="36" spans="1:7" ht="30" x14ac:dyDescent="0.2">
      <c r="A36" s="11" t="s">
        <v>29</v>
      </c>
      <c r="B36" s="12" t="s">
        <v>60</v>
      </c>
      <c r="C36" s="14" t="s">
        <v>61</v>
      </c>
      <c r="D36" s="20">
        <f>1.21*641.52</f>
        <v>776.23919999999998</v>
      </c>
      <c r="E36" s="20">
        <f>1.178*641.52</f>
        <v>755.71055999999999</v>
      </c>
      <c r="F36" s="20">
        <f t="shared" si="1"/>
        <v>64.686599999999999</v>
      </c>
      <c r="G36" s="20">
        <f t="shared" si="0"/>
        <v>62.975879999999997</v>
      </c>
    </row>
    <row r="37" spans="1:7" ht="30" x14ac:dyDescent="0.2">
      <c r="A37" s="11" t="s">
        <v>30</v>
      </c>
      <c r="B37" s="12" t="s">
        <v>62</v>
      </c>
      <c r="C37" s="15" t="s">
        <v>56</v>
      </c>
      <c r="D37" s="20">
        <f>1.23*641.52</f>
        <v>789.06959999999992</v>
      </c>
      <c r="E37" s="20">
        <f>1.319*641.52</f>
        <v>846.16487999999993</v>
      </c>
      <c r="F37" s="20">
        <f t="shared" si="1"/>
        <v>65.755799999999994</v>
      </c>
      <c r="G37" s="20">
        <f t="shared" si="0"/>
        <v>70.513739999999999</v>
      </c>
    </row>
    <row r="38" spans="1:7" ht="45" x14ac:dyDescent="0.2">
      <c r="A38" s="11" t="s">
        <v>31</v>
      </c>
      <c r="B38" s="15" t="s">
        <v>63</v>
      </c>
      <c r="C38" s="15" t="s">
        <v>64</v>
      </c>
      <c r="D38" s="20">
        <f>0.235*641.52</f>
        <v>150.75719999999998</v>
      </c>
      <c r="E38" s="20">
        <f>0.23*641.52</f>
        <v>147.5496</v>
      </c>
      <c r="F38" s="20">
        <f t="shared" si="1"/>
        <v>12.563099999999999</v>
      </c>
      <c r="G38" s="20">
        <f t="shared" si="0"/>
        <v>12.2958</v>
      </c>
    </row>
    <row r="39" spans="1:7" ht="14.25" customHeight="1" x14ac:dyDescent="0.2">
      <c r="A39" s="10" t="s">
        <v>32</v>
      </c>
      <c r="B39" s="53" t="s">
        <v>65</v>
      </c>
      <c r="C39" s="53"/>
      <c r="D39" s="53"/>
      <c r="E39" s="53"/>
      <c r="F39" s="18"/>
      <c r="G39" s="18"/>
    </row>
    <row r="40" spans="1:7" ht="90" x14ac:dyDescent="0.2">
      <c r="A40" s="11" t="s">
        <v>33</v>
      </c>
      <c r="B40" s="12" t="s">
        <v>66</v>
      </c>
      <c r="C40" s="15" t="s">
        <v>67</v>
      </c>
      <c r="D40" s="22">
        <f>0.53*641.52</f>
        <v>340.00560000000002</v>
      </c>
      <c r="E40" s="22">
        <f>0.589*641.52</f>
        <v>377.85527999999999</v>
      </c>
      <c r="F40" s="22">
        <f>D40/12</f>
        <v>28.3338</v>
      </c>
      <c r="G40" s="22">
        <f>E40/12</f>
        <v>31.487939999999998</v>
      </c>
    </row>
    <row r="41" spans="1:7" ht="30" x14ac:dyDescent="0.2">
      <c r="A41" s="12" t="s">
        <v>34</v>
      </c>
      <c r="B41" s="12" t="s">
        <v>68</v>
      </c>
      <c r="C41" s="15" t="s">
        <v>69</v>
      </c>
      <c r="D41" s="22">
        <f>0.11*641.52</f>
        <v>70.5672</v>
      </c>
      <c r="E41" s="22">
        <f>0.3*641.52</f>
        <v>192.45599999999999</v>
      </c>
      <c r="F41" s="22">
        <f>D41/12</f>
        <v>5.8806000000000003</v>
      </c>
      <c r="G41" s="22">
        <f t="shared" ref="G41:G43" si="2">E41/12</f>
        <v>16.038</v>
      </c>
    </row>
    <row r="42" spans="1:7" ht="15" x14ac:dyDescent="0.2">
      <c r="A42" s="12" t="s">
        <v>35</v>
      </c>
      <c r="B42" s="12" t="s">
        <v>70</v>
      </c>
      <c r="C42" s="15" t="s">
        <v>67</v>
      </c>
      <c r="D42" s="22">
        <f>0.375*641.52</f>
        <v>240.57</v>
      </c>
      <c r="E42" s="22">
        <f>0.535*641.52</f>
        <v>343.21320000000003</v>
      </c>
      <c r="F42" s="22">
        <f t="shared" ref="F42:F43" si="3">D42/12</f>
        <v>20.047499999999999</v>
      </c>
      <c r="G42" s="22">
        <f t="shared" si="2"/>
        <v>28.601100000000002</v>
      </c>
    </row>
    <row r="43" spans="1:7" ht="45" x14ac:dyDescent="0.2">
      <c r="A43" s="11" t="s">
        <v>36</v>
      </c>
      <c r="B43" s="12" t="s">
        <v>71</v>
      </c>
      <c r="C43" s="15" t="s">
        <v>64</v>
      </c>
      <c r="D43" s="22">
        <f>0.366*641.52</f>
        <v>234.79631999999998</v>
      </c>
      <c r="E43" s="22">
        <f>0.861*641.52</f>
        <v>552.34871999999996</v>
      </c>
      <c r="F43" s="22">
        <f t="shared" si="3"/>
        <v>19.56636</v>
      </c>
      <c r="G43" s="22">
        <f t="shared" si="2"/>
        <v>46.029059999999994</v>
      </c>
    </row>
    <row r="44" spans="1:7" ht="17.25" customHeight="1" x14ac:dyDescent="0.2">
      <c r="A44" s="10" t="s">
        <v>37</v>
      </c>
      <c r="B44" s="53" t="s">
        <v>72</v>
      </c>
      <c r="C44" s="53"/>
      <c r="D44" s="53"/>
      <c r="E44" s="53"/>
      <c r="F44" s="18"/>
      <c r="G44" s="18"/>
    </row>
    <row r="45" spans="1:7" ht="30" x14ac:dyDescent="0.2">
      <c r="A45" s="12" t="s">
        <v>38</v>
      </c>
      <c r="B45" s="12" t="s">
        <v>73</v>
      </c>
      <c r="C45" s="15" t="s">
        <v>74</v>
      </c>
      <c r="D45" s="22">
        <f>0.871*641.52</f>
        <v>558.76391999999998</v>
      </c>
      <c r="E45" s="22">
        <f>0.412*641.52</f>
        <v>264.30624</v>
      </c>
      <c r="F45" s="22">
        <f>D45/12</f>
        <v>46.563659999999999</v>
      </c>
      <c r="G45" s="22">
        <f>E45/12</f>
        <v>22.02552</v>
      </c>
    </row>
    <row r="46" spans="1:7" ht="30" x14ac:dyDescent="0.2">
      <c r="A46" s="12" t="s">
        <v>75</v>
      </c>
      <c r="B46" s="12" t="s">
        <v>76</v>
      </c>
      <c r="C46" s="15" t="s">
        <v>77</v>
      </c>
      <c r="D46" s="22">
        <f>0.397*641.52</f>
        <v>254.68344000000002</v>
      </c>
      <c r="E46" s="22">
        <f>0.698*641.52</f>
        <v>447.78095999999994</v>
      </c>
      <c r="F46" s="22">
        <f t="shared" ref="F46:F48" si="4">D46/12</f>
        <v>21.22362</v>
      </c>
      <c r="G46" s="22">
        <f t="shared" ref="G46:G48" si="5">E46/12</f>
        <v>37.315079999999995</v>
      </c>
    </row>
    <row r="47" spans="1:7" ht="105" x14ac:dyDescent="0.2">
      <c r="A47" s="11" t="s">
        <v>78</v>
      </c>
      <c r="B47" s="12" t="s">
        <v>79</v>
      </c>
      <c r="C47" s="15" t="s">
        <v>77</v>
      </c>
      <c r="D47" s="22">
        <f>0.728*641.52</f>
        <v>467.02655999999996</v>
      </c>
      <c r="E47" s="22">
        <f>0.297*641.52</f>
        <v>190.53143999999998</v>
      </c>
      <c r="F47" s="22">
        <f t="shared" si="4"/>
        <v>38.918879999999994</v>
      </c>
      <c r="G47" s="22">
        <f t="shared" si="5"/>
        <v>15.877619999999999</v>
      </c>
    </row>
    <row r="48" spans="1:7" ht="15" x14ac:dyDescent="0.2">
      <c r="A48" s="12" t="s">
        <v>80</v>
      </c>
      <c r="B48" s="12" t="s">
        <v>81</v>
      </c>
      <c r="C48" s="15" t="s">
        <v>82</v>
      </c>
      <c r="D48" s="22">
        <f>1.785*641.52</f>
        <v>1145.1132</v>
      </c>
      <c r="E48" s="22">
        <f>0.975*641.52</f>
        <v>625.48199999999997</v>
      </c>
      <c r="F48" s="22">
        <f t="shared" si="4"/>
        <v>95.426100000000005</v>
      </c>
      <c r="G48" s="22">
        <f t="shared" si="5"/>
        <v>52.1235</v>
      </c>
    </row>
    <row r="49" spans="1:7" ht="14.25" customHeight="1" x14ac:dyDescent="0.2">
      <c r="A49" s="10" t="s">
        <v>83</v>
      </c>
      <c r="B49" s="53" t="s">
        <v>22</v>
      </c>
      <c r="C49" s="53"/>
      <c r="D49" s="53"/>
      <c r="E49" s="53"/>
      <c r="F49" s="18"/>
      <c r="G49" s="18"/>
    </row>
    <row r="50" spans="1:7" ht="30" x14ac:dyDescent="0.2">
      <c r="A50" s="12" t="s">
        <v>84</v>
      </c>
      <c r="B50" s="12" t="s">
        <v>85</v>
      </c>
      <c r="C50" s="15" t="s">
        <v>69</v>
      </c>
      <c r="D50" s="22">
        <f>0.703*641.52</f>
        <v>450.98855999999995</v>
      </c>
      <c r="E50" s="22">
        <f>0.634*641.52</f>
        <v>406.72368</v>
      </c>
      <c r="F50" s="22">
        <f>D50/12</f>
        <v>37.582379999999993</v>
      </c>
      <c r="G50" s="22">
        <f>E50/12</f>
        <v>33.893639999999998</v>
      </c>
    </row>
    <row r="51" spans="1:7" ht="15" x14ac:dyDescent="0.2">
      <c r="A51" s="12" t="s">
        <v>86</v>
      </c>
      <c r="B51" s="12" t="s">
        <v>87</v>
      </c>
      <c r="C51" s="15" t="s">
        <v>64</v>
      </c>
      <c r="D51" s="22"/>
      <c r="E51" s="22">
        <f>0.235*641.52</f>
        <v>150.75719999999998</v>
      </c>
      <c r="F51" s="22">
        <f t="shared" ref="F51:F53" si="6">D51/12</f>
        <v>0</v>
      </c>
      <c r="G51" s="22">
        <f t="shared" ref="G51:G53" si="7">E51/12</f>
        <v>12.563099999999999</v>
      </c>
    </row>
    <row r="52" spans="1:7" ht="15" x14ac:dyDescent="0.2">
      <c r="A52" s="12" t="s">
        <v>88</v>
      </c>
      <c r="B52" s="12" t="s">
        <v>89</v>
      </c>
      <c r="C52" s="15" t="s">
        <v>64</v>
      </c>
      <c r="D52" s="22">
        <f>0.012*641.52</f>
        <v>7.6982400000000002</v>
      </c>
      <c r="E52" s="22">
        <f>0.28*641.52</f>
        <v>179.62560000000002</v>
      </c>
      <c r="F52" s="22">
        <f t="shared" si="6"/>
        <v>0.64151999999999998</v>
      </c>
      <c r="G52" s="22">
        <f t="shared" si="7"/>
        <v>14.968800000000002</v>
      </c>
    </row>
    <row r="53" spans="1:7" ht="45" x14ac:dyDescent="0.2">
      <c r="A53" s="11" t="s">
        <v>90</v>
      </c>
      <c r="B53" s="11" t="s">
        <v>91</v>
      </c>
      <c r="C53" s="15" t="s">
        <v>69</v>
      </c>
      <c r="D53" s="22">
        <f>1.78*641.52</f>
        <v>1141.9056</v>
      </c>
      <c r="E53" s="22">
        <f>1*641.52</f>
        <v>641.52</v>
      </c>
      <c r="F53" s="22">
        <f t="shared" si="6"/>
        <v>95.158799999999999</v>
      </c>
      <c r="G53" s="22">
        <f t="shared" si="7"/>
        <v>53.46</v>
      </c>
    </row>
    <row r="54" spans="1:7" ht="15" customHeight="1" x14ac:dyDescent="0.2">
      <c r="A54" s="10" t="s">
        <v>92</v>
      </c>
      <c r="B54" s="53" t="s">
        <v>93</v>
      </c>
      <c r="C54" s="53"/>
      <c r="D54" s="53"/>
      <c r="E54" s="53"/>
      <c r="F54" s="18"/>
      <c r="G54" s="18"/>
    </row>
    <row r="55" spans="1:7" ht="30" x14ac:dyDescent="0.2">
      <c r="A55" s="11" t="s">
        <v>94</v>
      </c>
      <c r="B55" s="15" t="s">
        <v>95</v>
      </c>
      <c r="C55" s="15" t="s">
        <v>69</v>
      </c>
      <c r="D55" s="22">
        <f>3.377*641.52</f>
        <v>2166.4130399999999</v>
      </c>
      <c r="E55" s="22">
        <f>1.265*641.52</f>
        <v>811.52279999999996</v>
      </c>
      <c r="F55" s="22">
        <f>D55/12</f>
        <v>180.53441999999998</v>
      </c>
      <c r="G55" s="22">
        <f>E55/12</f>
        <v>67.626899999999992</v>
      </c>
    </row>
    <row r="56" spans="1:7" ht="14.25" x14ac:dyDescent="0.2">
      <c r="A56" s="10" t="s">
        <v>96</v>
      </c>
      <c r="B56" s="53" t="s">
        <v>97</v>
      </c>
      <c r="C56" s="53"/>
      <c r="D56" s="53"/>
      <c r="E56" s="53"/>
      <c r="F56" s="18"/>
      <c r="G56" s="18"/>
    </row>
    <row r="57" spans="1:7" ht="105" x14ac:dyDescent="0.2">
      <c r="A57" s="11" t="s">
        <v>98</v>
      </c>
      <c r="B57" s="12" t="s">
        <v>99</v>
      </c>
      <c r="C57" s="15" t="s">
        <v>64</v>
      </c>
      <c r="D57" s="22">
        <f>0.325*641.52</f>
        <v>208.494</v>
      </c>
      <c r="E57" s="22">
        <f>0.931*641.52</f>
        <v>597.25512000000003</v>
      </c>
      <c r="F57" s="22">
        <f>D57/12</f>
        <v>17.374500000000001</v>
      </c>
      <c r="G57" s="22">
        <f>E57/12</f>
        <v>49.771260000000005</v>
      </c>
    </row>
    <row r="58" spans="1:7" ht="45" x14ac:dyDescent="0.2">
      <c r="A58" s="11" t="s">
        <v>100</v>
      </c>
      <c r="B58" s="11" t="s">
        <v>101</v>
      </c>
      <c r="C58" s="15" t="s">
        <v>69</v>
      </c>
      <c r="D58" s="22">
        <f>5.22*641.52</f>
        <v>3348.7343999999998</v>
      </c>
      <c r="E58" s="22">
        <f>1.528*641.52</f>
        <v>980.24256000000003</v>
      </c>
      <c r="F58" s="22">
        <f t="shared" ref="F58:F61" si="8">D58/12</f>
        <v>279.06119999999999</v>
      </c>
      <c r="G58" s="22">
        <f t="shared" ref="G58:G61" si="9">E58/12</f>
        <v>81.686880000000002</v>
      </c>
    </row>
    <row r="59" spans="1:7" ht="15" x14ac:dyDescent="0.2">
      <c r="A59" s="12" t="s">
        <v>102</v>
      </c>
      <c r="B59" s="12" t="s">
        <v>103</v>
      </c>
      <c r="C59" s="15" t="s">
        <v>69</v>
      </c>
      <c r="D59" s="22">
        <f>1.966*641.52</f>
        <v>1261.2283199999999</v>
      </c>
      <c r="E59" s="22">
        <f>1.087*641.52</f>
        <v>697.33223999999996</v>
      </c>
      <c r="F59" s="22">
        <f t="shared" si="8"/>
        <v>105.10235999999999</v>
      </c>
      <c r="G59" s="22">
        <f t="shared" si="9"/>
        <v>58.111019999999996</v>
      </c>
    </row>
    <row r="60" spans="1:7" ht="15" x14ac:dyDescent="0.2">
      <c r="A60" s="12" t="s">
        <v>104</v>
      </c>
      <c r="B60" s="12" t="s">
        <v>105</v>
      </c>
      <c r="C60" s="15" t="s">
        <v>69</v>
      </c>
      <c r="D60" s="22">
        <f>1.88*641.52</f>
        <v>1206.0575999999999</v>
      </c>
      <c r="E60" s="22">
        <f>1.405*641.52</f>
        <v>901.3356</v>
      </c>
      <c r="F60" s="22">
        <f t="shared" si="8"/>
        <v>100.50479999999999</v>
      </c>
      <c r="G60" s="22">
        <f t="shared" si="9"/>
        <v>75.1113</v>
      </c>
    </row>
    <row r="61" spans="1:7" ht="15" x14ac:dyDescent="0.2">
      <c r="A61" s="12" t="s">
        <v>106</v>
      </c>
      <c r="B61" s="12" t="s">
        <v>107</v>
      </c>
      <c r="C61" s="15" t="s">
        <v>69</v>
      </c>
      <c r="D61" s="22">
        <f>0.502*641.52</f>
        <v>322.04304000000002</v>
      </c>
      <c r="E61" s="22">
        <f>0.428*641.52</f>
        <v>274.57056</v>
      </c>
      <c r="F61" s="22">
        <f t="shared" si="8"/>
        <v>26.836920000000003</v>
      </c>
      <c r="G61" s="22">
        <f t="shared" si="9"/>
        <v>22.880880000000001</v>
      </c>
    </row>
    <row r="62" spans="1:7" ht="15" customHeight="1" x14ac:dyDescent="0.2">
      <c r="A62" s="10" t="s">
        <v>108</v>
      </c>
      <c r="B62" s="53" t="s">
        <v>109</v>
      </c>
      <c r="C62" s="53"/>
      <c r="D62" s="53"/>
      <c r="E62" s="53"/>
      <c r="F62" s="18"/>
      <c r="G62" s="18"/>
    </row>
    <row r="63" spans="1:7" ht="30" x14ac:dyDescent="0.2">
      <c r="A63" s="12" t="s">
        <v>110</v>
      </c>
      <c r="B63" s="12" t="s">
        <v>111</v>
      </c>
      <c r="C63" s="15" t="s">
        <v>124</v>
      </c>
      <c r="D63" s="22">
        <f>27*641.52</f>
        <v>17321.04</v>
      </c>
      <c r="E63" s="22">
        <f>0.11*641.52</f>
        <v>70.5672</v>
      </c>
      <c r="F63" s="22">
        <f>D63/12</f>
        <v>1443.42</v>
      </c>
      <c r="G63" s="22">
        <f>E63/12</f>
        <v>5.8806000000000003</v>
      </c>
    </row>
    <row r="64" spans="1:7" ht="15" hidden="1" x14ac:dyDescent="0.25">
      <c r="A64" s="16"/>
      <c r="B64" s="16"/>
      <c r="C64" s="16"/>
      <c r="D64" s="22"/>
      <c r="E64" s="22"/>
      <c r="F64" s="22">
        <f t="shared" ref="F64:F67" si="10">D64/12</f>
        <v>0</v>
      </c>
      <c r="G64" s="22">
        <f t="shared" ref="G64:G67" si="11">E64/12</f>
        <v>0</v>
      </c>
    </row>
    <row r="65" spans="1:7" ht="15" hidden="1" x14ac:dyDescent="0.25">
      <c r="A65" s="17" t="s">
        <v>23</v>
      </c>
      <c r="B65" s="16"/>
      <c r="C65" s="16"/>
      <c r="D65" s="22"/>
      <c r="E65" s="22"/>
      <c r="F65" s="22">
        <f t="shared" si="10"/>
        <v>0</v>
      </c>
      <c r="G65" s="22">
        <f t="shared" si="11"/>
        <v>0</v>
      </c>
    </row>
    <row r="66" spans="1:7" ht="15" hidden="1" x14ac:dyDescent="0.25">
      <c r="A66" s="16"/>
      <c r="B66" s="16"/>
      <c r="C66" s="16"/>
      <c r="D66" s="22"/>
      <c r="E66" s="22"/>
      <c r="F66" s="22">
        <f t="shared" si="10"/>
        <v>0</v>
      </c>
      <c r="G66" s="22">
        <f t="shared" si="11"/>
        <v>0</v>
      </c>
    </row>
    <row r="67" spans="1:7" ht="30" x14ac:dyDescent="0.2">
      <c r="A67" s="11" t="s">
        <v>112</v>
      </c>
      <c r="B67" s="12" t="s">
        <v>113</v>
      </c>
      <c r="C67" s="12" t="s">
        <v>64</v>
      </c>
      <c r="D67" s="22">
        <f>0.38*641.52</f>
        <v>243.77760000000001</v>
      </c>
      <c r="E67" s="22">
        <f>0.255*641.52</f>
        <v>163.58760000000001</v>
      </c>
      <c r="F67" s="22">
        <f t="shared" si="10"/>
        <v>20.314800000000002</v>
      </c>
      <c r="G67" s="22">
        <f t="shared" si="11"/>
        <v>13.632300000000001</v>
      </c>
    </row>
    <row r="68" spans="1:7" ht="15" customHeight="1" x14ac:dyDescent="0.2">
      <c r="A68" s="10" t="s">
        <v>114</v>
      </c>
      <c r="B68" s="53" t="s">
        <v>115</v>
      </c>
      <c r="C68" s="53"/>
      <c r="D68" s="53"/>
      <c r="E68" s="53"/>
      <c r="F68" s="18"/>
      <c r="G68" s="18"/>
    </row>
    <row r="69" spans="1:7" ht="45" x14ac:dyDescent="0.2">
      <c r="A69" s="12" t="s">
        <v>116</v>
      </c>
      <c r="B69" s="12" t="s">
        <v>117</v>
      </c>
      <c r="C69" s="12" t="s">
        <v>118</v>
      </c>
      <c r="D69" s="22">
        <f>0.723*641.52</f>
        <v>463.81895999999995</v>
      </c>
      <c r="E69" s="22">
        <f>1.607*641.52</f>
        <v>1030.92264</v>
      </c>
      <c r="F69" s="22">
        <f>D69/12</f>
        <v>38.651579999999996</v>
      </c>
      <c r="G69" s="22">
        <f>E69/12</f>
        <v>85.910219999999995</v>
      </c>
    </row>
    <row r="70" spans="1:7" ht="15" x14ac:dyDescent="0.2">
      <c r="A70" s="12" t="s">
        <v>119</v>
      </c>
      <c r="B70" s="12" t="s">
        <v>120</v>
      </c>
      <c r="C70" s="12" t="s">
        <v>64</v>
      </c>
      <c r="D70" s="22">
        <f>0.03*641.52</f>
        <v>19.2456</v>
      </c>
      <c r="E70" s="22">
        <f>0.65*641.52</f>
        <v>416.988</v>
      </c>
      <c r="F70" s="22">
        <f t="shared" ref="F70:F71" si="12">D70/12</f>
        <v>1.6037999999999999</v>
      </c>
      <c r="G70" s="22">
        <f t="shared" ref="G70:G71" si="13">E70/12</f>
        <v>34.749000000000002</v>
      </c>
    </row>
    <row r="71" spans="1:7" ht="45" x14ac:dyDescent="0.2">
      <c r="A71" s="12" t="s">
        <v>121</v>
      </c>
      <c r="B71" s="12" t="s">
        <v>122</v>
      </c>
      <c r="C71" s="12" t="s">
        <v>123</v>
      </c>
      <c r="D71" s="22">
        <f>0.02*641.52</f>
        <v>12.830399999999999</v>
      </c>
      <c r="E71" s="22"/>
      <c r="F71" s="22">
        <f t="shared" si="12"/>
        <v>1.0691999999999999</v>
      </c>
      <c r="G71" s="22">
        <f t="shared" si="13"/>
        <v>0</v>
      </c>
    </row>
    <row r="73" spans="1:7" ht="27" customHeight="1" x14ac:dyDescent="0.2">
      <c r="A73" s="54" t="s">
        <v>134</v>
      </c>
      <c r="B73" s="54"/>
      <c r="C73" s="54"/>
      <c r="D73" s="54"/>
      <c r="E73" s="54"/>
      <c r="F73" s="54"/>
      <c r="G73" s="54"/>
    </row>
  </sheetData>
  <mergeCells count="21">
    <mergeCell ref="A73:G73"/>
    <mergeCell ref="A15:A16"/>
    <mergeCell ref="B15:B16"/>
    <mergeCell ref="C15:D15"/>
    <mergeCell ref="B17:D17"/>
    <mergeCell ref="B19:D19"/>
    <mergeCell ref="B56:E56"/>
    <mergeCell ref="B62:E62"/>
    <mergeCell ref="B68:E68"/>
    <mergeCell ref="F25:G25"/>
    <mergeCell ref="A23:G23"/>
    <mergeCell ref="B30:D30"/>
    <mergeCell ref="B39:E39"/>
    <mergeCell ref="B44:E44"/>
    <mergeCell ref="B49:E49"/>
    <mergeCell ref="B54:E54"/>
    <mergeCell ref="A25:A26"/>
    <mergeCell ref="B25:B26"/>
    <mergeCell ref="C25:C26"/>
    <mergeCell ref="D25:E25"/>
    <mergeCell ref="B27:E27"/>
  </mergeCells>
  <pageMargins left="0.70866141732283472" right="0.70866141732283472" top="0.74803149606299213" bottom="0.74803149606299213" header="0.31496062992125984" footer="0.31496062992125984"/>
  <pageSetup paperSize="9" scale="80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Физики</vt:lpstr>
      <vt:lpstr>Юрики</vt:lpstr>
      <vt:lpstr>Физики!Область_печати</vt:lpstr>
      <vt:lpstr>Юрики!Область_печати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2018-12-21T12:56:10Z</cp:lastPrinted>
  <dcterms:created xsi:type="dcterms:W3CDTF">2018-12-21T10:31:56Z</dcterms:created>
  <dcterms:modified xsi:type="dcterms:W3CDTF">2018-12-21T13:07:57Z</dcterms:modified>
</cp:coreProperties>
</file>